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lipegoncalves/Library/Mobile Documents/com~apple~CloudDocs/plattform/booq/03 Projetos/14 PERU Braga_Galbilec/06 Desenvolvimento do Trabalho/07 Grelha Investimento e Benefícios/"/>
    </mc:Choice>
  </mc:AlternateContent>
  <xr:revisionPtr revIDLastSave="0" documentId="13_ncr:1_{F57B60B6-C8A9-B44B-8D9E-6A11324511D2}" xr6:coauthVersionLast="47" xr6:coauthVersionMax="47" xr10:uidLastSave="{00000000-0000-0000-0000-000000000000}"/>
  <bookViews>
    <workbookView xWindow="0" yWindow="760" windowWidth="30240" windowHeight="17180" xr2:uid="{B20407A9-8BC9-6241-8E74-3B6015C79F2C}"/>
  </bookViews>
  <sheets>
    <sheet name="Braga | Reabilitação Urbana" sheetId="1" r:id="rId1"/>
    <sheet name="Listas" sheetId="2" state="hidden" r:id="rId2"/>
    <sheet name="Estimativa de Custo" sheetId="3" state="hidden" r:id="rId3"/>
  </sheets>
  <definedNames>
    <definedName name="_xlnm.Print_Area" localSheetId="0">'Braga | Reabilitação Urbana'!$B$2:$J$65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2" l="1"/>
  <c r="G49" i="2"/>
  <c r="G48" i="2"/>
  <c r="G47" i="2"/>
  <c r="G46" i="2"/>
  <c r="G45" i="2"/>
  <c r="G44" i="2"/>
  <c r="G43" i="2"/>
  <c r="M36" i="1"/>
  <c r="M35" i="1"/>
  <c r="C44" i="2"/>
  <c r="C43" i="2"/>
  <c r="C45" i="2"/>
  <c r="G36" i="2" s="1"/>
  <c r="O13" i="2"/>
  <c r="O12" i="2"/>
  <c r="O11" i="2"/>
  <c r="O10" i="2"/>
  <c r="O9" i="2"/>
  <c r="O8" i="2"/>
  <c r="O7" i="2"/>
  <c r="O6" i="2"/>
  <c r="O5" i="2"/>
  <c r="O4" i="2"/>
  <c r="N13" i="2"/>
  <c r="N12" i="2"/>
  <c r="N11" i="2"/>
  <c r="N10" i="2"/>
  <c r="N9" i="2"/>
  <c r="N8" i="2"/>
  <c r="N7" i="2"/>
  <c r="N6" i="2"/>
  <c r="N5" i="2"/>
  <c r="N4" i="2"/>
  <c r="G51" i="2" l="1"/>
  <c r="G27" i="2"/>
  <c r="G30" i="2"/>
  <c r="G31" i="2"/>
  <c r="G32" i="2"/>
  <c r="G33" i="2"/>
  <c r="G22" i="2"/>
  <c r="G25" i="2"/>
  <c r="G21" i="2"/>
  <c r="G26" i="2"/>
  <c r="G34" i="2"/>
  <c r="G35" i="2"/>
  <c r="G23" i="2"/>
  <c r="G24" i="2"/>
  <c r="F31" i="1" l="1"/>
  <c r="C55" i="2" s="1"/>
  <c r="C56" i="2" s="1"/>
  <c r="C57" i="2" s="1"/>
  <c r="C58" i="2" s="1"/>
  <c r="C59" i="2" s="1"/>
  <c r="F38" i="1" s="1"/>
  <c r="H44" i="1"/>
  <c r="H42" i="1"/>
  <c r="H38" i="1"/>
  <c r="H36" i="1"/>
  <c r="H31" i="1"/>
  <c r="I31" i="1"/>
  <c r="D55" i="2" s="1"/>
  <c r="D56" i="2" s="1"/>
  <c r="D57" i="2" s="1"/>
  <c r="D58" i="2" s="1"/>
  <c r="D59" i="2" s="1"/>
  <c r="I38" i="1" s="1"/>
  <c r="F33" i="1"/>
  <c r="C49" i="2"/>
  <c r="F32" i="1" s="1"/>
  <c r="F39" i="1" s="1"/>
  <c r="C62" i="2" l="1"/>
  <c r="C64" i="2" s="1"/>
  <c r="C63" i="2"/>
  <c r="C65" i="2" s="1"/>
  <c r="C66" i="2" s="1"/>
  <c r="C67" i="2" s="1"/>
  <c r="C68" i="2" s="1"/>
  <c r="C46" i="2"/>
  <c r="C47" i="2" s="1"/>
  <c r="C51" i="2" s="1"/>
  <c r="F34" i="1" s="1"/>
  <c r="F40" i="1" s="1"/>
  <c r="F42" i="1" s="1"/>
  <c r="D62" i="2"/>
  <c r="D64" i="2" s="1"/>
  <c r="D63" i="2"/>
  <c r="D65" i="2" s="1"/>
  <c r="F36" i="1" l="1"/>
  <c r="F44" i="1" s="1"/>
  <c r="I36" i="1"/>
  <c r="I42" i="1"/>
  <c r="I44" i="1"/>
  <c r="D66" i="2"/>
  <c r="D67" i="2" s="1"/>
  <c r="D68" i="2" s="1"/>
  <c r="B46" i="1" l="1"/>
</calcChain>
</file>

<file path=xl/sharedStrings.xml><?xml version="1.0" encoding="utf-8"?>
<sst xmlns="http://schemas.openxmlformats.org/spreadsheetml/2006/main" count="162" uniqueCount="110">
  <si>
    <t>PERU Braga | Grelha Estimativa de Investimento Reabilitação Urbana</t>
  </si>
  <si>
    <t>Estado de Conservação Após Intervenção</t>
  </si>
  <si>
    <t>Estado de Conservação Atual</t>
  </si>
  <si>
    <t>Excelente</t>
  </si>
  <si>
    <t>Bom</t>
  </si>
  <si>
    <t>Médio</t>
  </si>
  <si>
    <t>Mau</t>
  </si>
  <si>
    <t>Péssimo</t>
  </si>
  <si>
    <t>-</t>
  </si>
  <si>
    <t>---</t>
  </si>
  <si>
    <t>Estado de Conservação</t>
  </si>
  <si>
    <t>Posse do Imóvel</t>
  </si>
  <si>
    <t>Destino da Reabilitação</t>
  </si>
  <si>
    <t>Habitação Própria e Permanente</t>
  </si>
  <si>
    <t>Atividades Económicas</t>
  </si>
  <si>
    <t>Venda</t>
  </si>
  <si>
    <t>Sem Incentivos e Benefícios Fiscais</t>
  </si>
  <si>
    <t>Incentivos e Benefícios Fiscais</t>
  </si>
  <si>
    <t>IVA</t>
  </si>
  <si>
    <t>IMI</t>
  </si>
  <si>
    <t>IMT</t>
  </si>
  <si>
    <t>Localização</t>
  </si>
  <si>
    <t>Área de Reabilitação Urbana Expansão da Cidade</t>
  </si>
  <si>
    <t>Fora de Área de Reabilitação Urbana</t>
  </si>
  <si>
    <t>Estimativas de Investimento</t>
  </si>
  <si>
    <t>Estado</t>
  </si>
  <si>
    <t>Mínimo</t>
  </si>
  <si>
    <t>Máximo</t>
  </si>
  <si>
    <t>PéssimoMau</t>
  </si>
  <si>
    <t>PéssimoMédio</t>
  </si>
  <si>
    <t>PéssimoBom</t>
  </si>
  <si>
    <t>PéssimoExcelente</t>
  </si>
  <si>
    <t>MauMédio</t>
  </si>
  <si>
    <t>MauBom</t>
  </si>
  <si>
    <t>MauExcelente</t>
  </si>
  <si>
    <t>MédioBom</t>
  </si>
  <si>
    <t>MédioExcelente</t>
  </si>
  <si>
    <t>BomExcelente</t>
  </si>
  <si>
    <t>Nota: Valores médios, considerando o IVA à taxa de 23%</t>
  </si>
  <si>
    <t>Localização do Imóvel</t>
  </si>
  <si>
    <t>Braga</t>
  </si>
  <si>
    <t>Mão de Obra</t>
  </si>
  <si>
    <t>Taxa</t>
  </si>
  <si>
    <t>Parcela a abater</t>
  </si>
  <si>
    <t xml:space="preserve">Outros prédios urbanos e outras aquisições onerosas </t>
  </si>
  <si>
    <t>IS</t>
  </si>
  <si>
    <t>Total</t>
  </si>
  <si>
    <t>Investimento com Incentivos</t>
  </si>
  <si>
    <t>Cálculo IMT</t>
  </si>
  <si>
    <t>Destino Imóvel</t>
  </si>
  <si>
    <t>Valor Imóvel</t>
  </si>
  <si>
    <t>Habitação Secundária ou Arrendamento</t>
  </si>
  <si>
    <t>Área de Reabilitação Urbana Espaço Central</t>
  </si>
  <si>
    <t>2 - Indique há quanto tempo detém a Posse do Imóvel</t>
  </si>
  <si>
    <t>1 - Selecione a área de Localização do Imóvel</t>
  </si>
  <si>
    <t>Tipo de Imóvel</t>
  </si>
  <si>
    <t>Edifício para Reabilitar</t>
  </si>
  <si>
    <t>Terreno para Construir</t>
  </si>
  <si>
    <t>3 - Indique o Tipo de Imóvel</t>
  </si>
  <si>
    <t>4 - Selecione o Destino do Imóvel</t>
  </si>
  <si>
    <t>Destino do Imóvel</t>
  </si>
  <si>
    <t>5 - Introduza o Estado de Conservação Atual (caso aplicável)</t>
  </si>
  <si>
    <t>5 - Introduza o Estado de Conservação Após a Intervenção (caso aplicável)</t>
  </si>
  <si>
    <t>6 - Introduza a Área Bruta de Construção (em m2)</t>
  </si>
  <si>
    <t>7 - Introduza o Valor do Imóvel (o mais elevado entre a escritura e o V.P.T., em euros)</t>
  </si>
  <si>
    <t>Instruções de Preenchimento</t>
  </si>
  <si>
    <t>Área Bruta de Construção (m2)</t>
  </si>
  <si>
    <t>Empreitada</t>
  </si>
  <si>
    <t>CONSTRUÇÃO NOVA</t>
  </si>
  <si>
    <t>TERRENO PARA CONSTRUIR</t>
  </si>
  <si>
    <t>IMI (três anos)</t>
  </si>
  <si>
    <t>Estimativa de Investimento (valores em euros)</t>
  </si>
  <si>
    <t>Vou comprar ou comprei há menos de três anos</t>
  </si>
  <si>
    <t>Detenho o imóvel há mais de três anos</t>
  </si>
  <si>
    <t>Designação da Operação de Reabilitação Urbana (opcional)</t>
  </si>
  <si>
    <t>Valor do Imóvel ou do Terreno (€)</t>
  </si>
  <si>
    <t>Investimento</t>
  </si>
  <si>
    <t>Considerado para o VPT</t>
  </si>
  <si>
    <t>VPT a considerar para o IMI</t>
  </si>
  <si>
    <t>- A simulação não considera a eventual isenção de taxas municipais (ARU Espaço Central).</t>
  </si>
  <si>
    <t>- A simulação não considera os eventuais benefícios sem de IRS, Rendimentos Prediais ou de Mais-Valias.</t>
  </si>
  <si>
    <t>- A simulação apresentada pressupõe que a intervenção se enquadra como Operação de Reabilitação Urbana</t>
  </si>
  <si>
    <t>- O presente documento não dispensa a consulta da legislação em vigor.</t>
  </si>
  <si>
    <t xml:space="preserve">- A potencial obtenção da isenção do IMT e do IMI pressupõe a obtenção de certidão de subida de 2 dois ou mais </t>
  </si>
  <si>
    <t>níveis no estado de conservação do imóvel.</t>
  </si>
  <si>
    <t>- A recuperação do IMT depende do início da empreitada de reabilitação até três anos após a aquisição.</t>
  </si>
  <si>
    <t xml:space="preserve">- No caso de operações localizadas fora de ARU, o IVA à taxa reduzida de 6% aplicar-se-á apenas sobre a mão de </t>
  </si>
  <si>
    <t>obra. Para efeitos da presente simulação, considerou-se que a mão de obra terá um peso de 60%.</t>
  </si>
  <si>
    <t>- A construção nova não beneficia da isenção de IMT e de IMI.</t>
  </si>
  <si>
    <t xml:space="preserve">- No caso de construção nova, o IMI estimado resulta de uma atualização do VPT com base no valor do terreno, </t>
  </si>
  <si>
    <t>acrescido de 80% da média do intervalo do investimento.</t>
  </si>
  <si>
    <t>arrendamento para habitação permanente ou, se em ARU, também a habitação própria e permanente.</t>
  </si>
  <si>
    <t>IVA a 6%</t>
  </si>
  <si>
    <t>Poupança</t>
  </si>
  <si>
    <t>Cálculo Poupança IVA</t>
  </si>
  <si>
    <t>Investimento Estimado</t>
  </si>
  <si>
    <t>Investimento Sem IVA a 23%</t>
  </si>
  <si>
    <t>Investimento com IVA a 6%</t>
  </si>
  <si>
    <t>Fora da ARU</t>
  </si>
  <si>
    <t>Materiais</t>
  </si>
  <si>
    <t>IVA Mão de Obra 6%</t>
  </si>
  <si>
    <t>IVA Materiais 23%</t>
  </si>
  <si>
    <t>Investimento com IVA combinado</t>
  </si>
  <si>
    <t>IVA Combinado</t>
  </si>
  <si>
    <t>Notas</t>
  </si>
  <si>
    <t>- Os valores apresentados correspondem a estimativas com base em valores médios de custo.</t>
  </si>
  <si>
    <t>- A isenção de IMI apresentada considera um período de três anos. Esta isenção poderá, em casos fundamentados, ser eventualmente</t>
  </si>
  <si>
    <t>prorrogada por mais cinco anos mediante aprovação em sede de Assembleia Municipal por proposta da Câmara Municipal.</t>
  </si>
  <si>
    <t xml:space="preserve">- Poderá igualmente ser concedida da isenção de IMT na primeira transmissão subsequente à intervenção de reabilitação, a afetar a </t>
  </si>
  <si>
    <t>Controlo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</si>
</sst>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0"/>
    <numFmt numFmtId="165" formatCode="###,###,##0"/>
    <numFmt numFmtId="166" formatCode="0.0%"/>
  </numFmts>
  <fonts count="11">
    <font>
      <sz val="10"/>
      <color theme="1"/>
      <name val="ArialMT"/>
      <family val="2"/>
    </font>
    <font>
      <b/>
      <sz val="10"/>
      <color theme="1"/>
      <name val="ArialMT"/>
    </font>
    <font>
      <b/>
      <sz val="12"/>
      <color theme="1"/>
      <name val="ArialMT"/>
    </font>
    <font>
      <sz val="10"/>
      <color theme="1"/>
      <name val="ArialMT"/>
    </font>
    <font>
      <sz val="8"/>
      <color theme="1"/>
      <name val="ArialMT"/>
      <family val="2"/>
    </font>
    <font>
      <sz val="10"/>
      <color theme="1"/>
      <name val="ArialMT"/>
      <family val="2"/>
    </font>
    <font>
      <sz val="12"/>
      <color theme="1"/>
      <name val="ArialMT"/>
    </font>
    <font>
      <u/>
      <sz val="10"/>
      <color theme="1"/>
      <name val="ArialMT"/>
      <family val="2"/>
    </font>
    <font>
      <sz val="8"/>
      <color theme="1"/>
      <name val="ArialMT"/>
    </font>
    <font>
      <b/>
      <sz val="10"/>
      <color theme="0"/>
      <name val="ArialMT"/>
    </font>
    <font>
      <sz val="10"/>
      <color theme="0"/>
      <name val="ArialM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3" xfId="0" quotePrefix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quotePrefix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/>
    <xf numFmtId="0" fontId="1" fillId="2" borderId="10" xfId="0" applyFont="1" applyFill="1" applyBorder="1"/>
    <xf numFmtId="0" fontId="1" fillId="2" borderId="5" xfId="0" applyFont="1" applyFill="1" applyBorder="1"/>
    <xf numFmtId="0" fontId="0" fillId="2" borderId="5" xfId="0" applyFill="1" applyBorder="1"/>
    <xf numFmtId="0" fontId="2" fillId="2" borderId="11" xfId="0" applyFont="1" applyFill="1" applyBorder="1"/>
    <xf numFmtId="0" fontId="0" fillId="2" borderId="10" xfId="0" applyFill="1" applyBorder="1"/>
    <xf numFmtId="0" fontId="1" fillId="2" borderId="13" xfId="0" applyFont="1" applyFill="1" applyBorder="1"/>
    <xf numFmtId="0" fontId="0" fillId="2" borderId="13" xfId="0" applyFill="1" applyBorder="1"/>
    <xf numFmtId="0" fontId="1" fillId="2" borderId="11" xfId="0" applyFont="1" applyFill="1" applyBorder="1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 applyAlignment="1">
      <alignment horizontal="left"/>
    </xf>
    <xf numFmtId="0" fontId="1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right"/>
    </xf>
    <xf numFmtId="165" fontId="0" fillId="2" borderId="12" xfId="0" applyNumberFormat="1" applyFill="1" applyBorder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165" fontId="0" fillId="2" borderId="0" xfId="0" applyNumberFormat="1" applyFill="1"/>
    <xf numFmtId="0" fontId="3" fillId="2" borderId="0" xfId="0" applyFont="1" applyFill="1"/>
    <xf numFmtId="165" fontId="0" fillId="2" borderId="0" xfId="0" applyNumberForma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8" fillId="2" borderId="11" xfId="0" quotePrefix="1" applyFont="1" applyFill="1" applyBorder="1"/>
    <xf numFmtId="0" fontId="8" fillId="2" borderId="11" xfId="0" applyFont="1" applyFill="1" applyBorder="1" applyAlignment="1">
      <alignment horizontal="left" vertical="center"/>
    </xf>
    <xf numFmtId="0" fontId="8" fillId="2" borderId="11" xfId="0" quotePrefix="1" applyFont="1" applyFill="1" applyBorder="1" applyAlignment="1">
      <alignment horizontal="left" vertical="center"/>
    </xf>
    <xf numFmtId="0" fontId="8" fillId="2" borderId="11" xfId="0" applyFont="1" applyFill="1" applyBorder="1"/>
    <xf numFmtId="0" fontId="8" fillId="2" borderId="10" xfId="0" quotePrefix="1" applyFont="1" applyFill="1" applyBorder="1"/>
    <xf numFmtId="165" fontId="2" fillId="2" borderId="0" xfId="0" applyNumberFormat="1" applyFont="1" applyFill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5" fontId="2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0" fillId="2" borderId="2" xfId="0" quotePrefix="1" applyFill="1" applyBorder="1" applyAlignment="1">
      <alignment horizontal="center" vertical="center"/>
    </xf>
    <xf numFmtId="0" fontId="0" fillId="2" borderId="3" xfId="0" quotePrefix="1" applyFill="1" applyBorder="1" applyAlignment="1">
      <alignment horizontal="center" vertical="center"/>
    </xf>
    <xf numFmtId="0" fontId="0" fillId="2" borderId="4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10" fontId="10" fillId="0" borderId="0" xfId="1" applyNumberFormat="1" applyFont="1" applyBorder="1"/>
    <xf numFmtId="165" fontId="10" fillId="0" borderId="0" xfId="0" applyNumberFormat="1" applyFont="1"/>
    <xf numFmtId="166" fontId="10" fillId="0" borderId="0" xfId="1" applyNumberFormat="1" applyFont="1" applyBorder="1"/>
    <xf numFmtId="9" fontId="10" fillId="0" borderId="0" xfId="1" applyFont="1" applyBorder="1"/>
    <xf numFmtId="0" fontId="10" fillId="0" borderId="0" xfId="0" applyFont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165" fontId="3" fillId="3" borderId="10" xfId="0" applyNumberFormat="1" applyFont="1" applyFill="1" applyBorder="1" applyAlignment="1" applyProtection="1">
      <alignment horizontal="center"/>
      <protection locked="0"/>
    </xf>
    <xf numFmtId="165" fontId="3" fillId="3" borderId="5" xfId="0" applyNumberFormat="1" applyFont="1" applyFill="1" applyBorder="1" applyAlignment="1" applyProtection="1">
      <alignment horizontal="center"/>
      <protection locked="0"/>
    </xf>
    <xf numFmtId="165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4A95-071B-9444-9F19-EB2498DDC1A9}">
  <dimension ref="B2:R65"/>
  <sheetViews>
    <sheetView tabSelected="1" topLeftCell="A6" zoomScale="120" zoomScaleNormal="120" workbookViewId="0">
      <selection activeCell="B15" sqref="B15:J15"/>
    </sheetView>
  </sheetViews>
  <sheetFormatPr baseColWidth="10" defaultColWidth="10.83203125" defaultRowHeight="13"/>
  <cols>
    <col min="1" max="1" width="1.6640625" style="1" customWidth="1"/>
    <col min="2" max="5" width="10.83203125" style="1" customWidth="1"/>
    <col min="6" max="6" width="2.5" style="1" customWidth="1"/>
    <col min="7" max="18" width="10.83203125" style="1" customWidth="1"/>
    <col min="19" max="16384" width="10.83203125" style="1"/>
  </cols>
  <sheetData>
    <row r="2" spans="2:18" ht="35" customHeight="1">
      <c r="B2" s="52" t="s">
        <v>0</v>
      </c>
      <c r="C2" s="53"/>
      <c r="D2" s="53"/>
      <c r="E2" s="53"/>
      <c r="F2" s="53"/>
      <c r="G2" s="53"/>
      <c r="H2" s="53"/>
      <c r="I2" s="53"/>
      <c r="J2" s="54"/>
      <c r="K2" s="21"/>
      <c r="L2" s="21"/>
      <c r="M2" s="21"/>
      <c r="N2" s="21"/>
      <c r="O2" s="21"/>
      <c r="P2" s="21"/>
      <c r="Q2" s="21"/>
      <c r="R2" s="21"/>
    </row>
    <row r="3" spans="2:18" ht="5" customHeight="1">
      <c r="B3" s="20"/>
      <c r="C3" s="20"/>
      <c r="D3" s="20"/>
      <c r="E3" s="20"/>
      <c r="F3" s="20"/>
      <c r="G3" s="20"/>
      <c r="H3" s="20"/>
      <c r="I3" s="20"/>
      <c r="J3" s="20"/>
      <c r="K3" s="21"/>
      <c r="L3" s="21"/>
      <c r="M3" s="21"/>
      <c r="N3" s="21"/>
      <c r="O3" s="21"/>
      <c r="P3" s="21"/>
      <c r="Q3" s="21"/>
      <c r="R3" s="21"/>
    </row>
    <row r="4" spans="2:18" ht="13" customHeight="1">
      <c r="B4" s="58" t="s">
        <v>65</v>
      </c>
      <c r="C4" s="59"/>
      <c r="D4" s="59"/>
      <c r="E4" s="59"/>
      <c r="F4" s="59"/>
      <c r="G4" s="59"/>
      <c r="H4" s="59"/>
      <c r="I4" s="59"/>
      <c r="J4" s="60"/>
      <c r="K4" s="21"/>
      <c r="L4" s="21"/>
      <c r="M4" s="21"/>
      <c r="N4" s="21"/>
      <c r="O4" s="21"/>
      <c r="P4" s="21"/>
      <c r="Q4" s="21"/>
      <c r="R4" s="21"/>
    </row>
    <row r="5" spans="2:18" ht="13" customHeight="1">
      <c r="B5" s="9" t="s">
        <v>54</v>
      </c>
      <c r="C5" s="20"/>
      <c r="D5" s="20"/>
      <c r="E5" s="20"/>
      <c r="F5" s="20"/>
      <c r="G5" s="20"/>
      <c r="H5" s="20"/>
      <c r="I5" s="20"/>
      <c r="J5" s="22"/>
      <c r="K5" s="21"/>
      <c r="L5" s="21"/>
      <c r="M5" s="21"/>
      <c r="N5" s="21"/>
      <c r="O5" s="21"/>
      <c r="P5" s="21"/>
      <c r="Q5" s="21"/>
      <c r="R5" s="21"/>
    </row>
    <row r="6" spans="2:18" ht="13" customHeight="1">
      <c r="B6" s="9" t="s">
        <v>53</v>
      </c>
      <c r="C6" s="20"/>
      <c r="D6" s="20"/>
      <c r="E6" s="20"/>
      <c r="F6" s="20"/>
      <c r="G6" s="20"/>
      <c r="H6" s="20"/>
      <c r="I6" s="20"/>
      <c r="J6" s="22"/>
      <c r="K6" s="21"/>
      <c r="L6" s="21"/>
      <c r="M6" s="21"/>
      <c r="N6" s="21"/>
      <c r="O6" s="21"/>
      <c r="P6" s="21"/>
      <c r="Q6" s="21"/>
      <c r="R6" s="21"/>
    </row>
    <row r="7" spans="2:18" ht="13" customHeight="1">
      <c r="B7" s="9" t="s">
        <v>58</v>
      </c>
      <c r="C7" s="20"/>
      <c r="D7" s="20"/>
      <c r="E7" s="20"/>
      <c r="F7" s="20"/>
      <c r="G7" s="20"/>
      <c r="H7" s="20"/>
      <c r="I7" s="20"/>
      <c r="J7" s="22"/>
      <c r="K7" s="21"/>
      <c r="L7" s="21"/>
      <c r="M7" s="21"/>
      <c r="N7" s="21"/>
      <c r="O7" s="21"/>
      <c r="P7" s="21"/>
      <c r="Q7" s="21"/>
      <c r="R7" s="21"/>
    </row>
    <row r="8" spans="2:18" ht="13" customHeight="1">
      <c r="B8" s="9" t="s">
        <v>59</v>
      </c>
      <c r="C8" s="20"/>
      <c r="D8" s="20"/>
      <c r="E8" s="20"/>
      <c r="F8" s="20"/>
      <c r="G8" s="20"/>
      <c r="H8" s="20"/>
      <c r="I8" s="20"/>
      <c r="J8" s="22"/>
      <c r="K8" s="21"/>
      <c r="L8" s="21"/>
      <c r="M8" s="21"/>
      <c r="N8" s="21"/>
      <c r="O8" s="21"/>
      <c r="P8" s="21"/>
      <c r="Q8" s="21"/>
      <c r="R8" s="21"/>
    </row>
    <row r="9" spans="2:18" ht="13" customHeight="1">
      <c r="B9" s="9" t="s">
        <v>61</v>
      </c>
      <c r="C9" s="20"/>
      <c r="D9" s="20"/>
      <c r="E9" s="20"/>
      <c r="F9" s="20"/>
      <c r="G9" s="20"/>
      <c r="H9" s="20"/>
      <c r="I9" s="20"/>
      <c r="J9" s="22"/>
      <c r="K9" s="21"/>
      <c r="L9" s="21"/>
      <c r="M9" s="21"/>
      <c r="N9" s="21"/>
      <c r="O9" s="21"/>
      <c r="P9" s="21"/>
      <c r="Q9" s="21"/>
      <c r="R9" s="21"/>
    </row>
    <row r="10" spans="2:18" ht="13" customHeight="1">
      <c r="B10" s="9" t="s">
        <v>62</v>
      </c>
      <c r="C10" s="20"/>
      <c r="D10" s="20"/>
      <c r="E10" s="20"/>
      <c r="F10" s="20"/>
      <c r="G10" s="20"/>
      <c r="H10" s="20"/>
      <c r="I10" s="20"/>
      <c r="J10" s="22"/>
      <c r="K10" s="21"/>
      <c r="L10" s="21"/>
      <c r="M10" s="21"/>
      <c r="N10" s="21"/>
      <c r="O10" s="21"/>
      <c r="P10" s="21"/>
      <c r="Q10" s="21"/>
      <c r="R10" s="21"/>
    </row>
    <row r="11" spans="2:18" ht="13" customHeight="1">
      <c r="B11" s="9" t="s">
        <v>63</v>
      </c>
      <c r="C11" s="20"/>
      <c r="D11" s="20"/>
      <c r="E11" s="20"/>
      <c r="F11" s="20"/>
      <c r="G11" s="20"/>
      <c r="H11" s="20"/>
      <c r="I11" s="20"/>
      <c r="J11" s="22"/>
      <c r="K11" s="21"/>
      <c r="L11" s="21"/>
      <c r="M11" s="21"/>
      <c r="N11" s="21"/>
      <c r="O11" s="21"/>
      <c r="P11" s="21"/>
      <c r="Q11" s="21"/>
      <c r="R11" s="21"/>
    </row>
    <row r="12" spans="2:18" ht="13" customHeight="1">
      <c r="B12" s="15" t="s">
        <v>64</v>
      </c>
      <c r="C12" s="23"/>
      <c r="D12" s="23"/>
      <c r="E12" s="23"/>
      <c r="F12" s="23"/>
      <c r="G12" s="23"/>
      <c r="H12" s="23"/>
      <c r="I12" s="23"/>
      <c r="J12" s="24"/>
      <c r="K12" s="21"/>
      <c r="L12" s="21"/>
      <c r="M12" s="21"/>
      <c r="N12" s="21"/>
      <c r="O12" s="21"/>
      <c r="P12" s="21"/>
      <c r="Q12" s="21"/>
      <c r="R12" s="21"/>
    </row>
    <row r="13" spans="2:18" ht="5" customHeight="1">
      <c r="C13" s="20"/>
      <c r="D13" s="20"/>
      <c r="E13" s="20"/>
      <c r="F13" s="20"/>
      <c r="G13" s="20"/>
      <c r="H13" s="20"/>
      <c r="I13" s="20"/>
      <c r="J13" s="20"/>
      <c r="K13" s="21"/>
      <c r="L13" s="21"/>
      <c r="M13" s="21"/>
      <c r="N13" s="21"/>
      <c r="O13" s="21"/>
      <c r="P13" s="21"/>
      <c r="Q13" s="21"/>
      <c r="R13" s="21"/>
    </row>
    <row r="14" spans="2:18" ht="13" customHeight="1">
      <c r="B14" s="55" t="s">
        <v>74</v>
      </c>
      <c r="C14" s="56"/>
      <c r="D14" s="56"/>
      <c r="E14" s="56"/>
      <c r="F14" s="56"/>
      <c r="G14" s="56"/>
      <c r="H14" s="56"/>
      <c r="I14" s="56"/>
      <c r="J14" s="57"/>
      <c r="K14" s="21"/>
      <c r="L14" s="21"/>
      <c r="M14" s="21"/>
      <c r="N14" s="21"/>
      <c r="O14" s="21"/>
      <c r="P14" s="21"/>
      <c r="Q14" s="21"/>
      <c r="R14" s="21"/>
    </row>
    <row r="15" spans="2:18" ht="13" customHeight="1">
      <c r="B15" s="89"/>
      <c r="C15" s="90"/>
      <c r="D15" s="90"/>
      <c r="E15" s="90"/>
      <c r="F15" s="90"/>
      <c r="G15" s="90"/>
      <c r="H15" s="90"/>
      <c r="I15" s="90"/>
      <c r="J15" s="91"/>
      <c r="K15" s="21"/>
      <c r="L15" s="21"/>
      <c r="M15" s="21"/>
      <c r="N15" s="21"/>
      <c r="O15" s="21"/>
      <c r="P15" s="21"/>
      <c r="Q15" s="21"/>
      <c r="R15" s="21"/>
    </row>
    <row r="16" spans="2:18" ht="5" customHeight="1"/>
    <row r="17" spans="2:18" ht="13" customHeight="1">
      <c r="B17" s="55" t="s">
        <v>39</v>
      </c>
      <c r="C17" s="56"/>
      <c r="D17" s="56"/>
      <c r="E17" s="57"/>
      <c r="F17" s="16"/>
      <c r="G17" s="55" t="s">
        <v>11</v>
      </c>
      <c r="H17" s="56"/>
      <c r="I17" s="56"/>
      <c r="J17" s="57"/>
      <c r="K17" s="18"/>
      <c r="L17" s="19"/>
      <c r="M17" s="19"/>
      <c r="N17" s="19"/>
      <c r="O17" s="19"/>
      <c r="P17" s="19"/>
      <c r="Q17" s="19"/>
      <c r="R17" s="19"/>
    </row>
    <row r="18" spans="2:18" ht="13" customHeight="1">
      <c r="B18" s="89"/>
      <c r="C18" s="90"/>
      <c r="D18" s="90"/>
      <c r="E18" s="91"/>
      <c r="F18" s="17"/>
      <c r="G18" s="89"/>
      <c r="H18" s="90"/>
      <c r="I18" s="90"/>
      <c r="J18" s="91"/>
      <c r="K18" s="18"/>
      <c r="L18" s="19"/>
      <c r="M18" s="19"/>
      <c r="N18" s="19"/>
      <c r="O18" s="19"/>
      <c r="P18" s="19"/>
      <c r="Q18" s="19"/>
      <c r="R18" s="19"/>
    </row>
    <row r="19" spans="2:18" ht="5" customHeight="1"/>
    <row r="20" spans="2:18" ht="13" customHeight="1">
      <c r="B20" s="55" t="s">
        <v>55</v>
      </c>
      <c r="C20" s="56"/>
      <c r="D20" s="56"/>
      <c r="E20" s="57"/>
      <c r="G20" s="55" t="s">
        <v>60</v>
      </c>
      <c r="H20" s="56"/>
      <c r="I20" s="56"/>
      <c r="J20" s="57"/>
    </row>
    <row r="21" spans="2:18" ht="13" customHeight="1">
      <c r="B21" s="89"/>
      <c r="C21" s="90"/>
      <c r="D21" s="90"/>
      <c r="E21" s="91"/>
      <c r="G21" s="98"/>
      <c r="H21" s="99"/>
      <c r="I21" s="99"/>
      <c r="J21" s="100"/>
    </row>
    <row r="22" spans="2:18" ht="5" customHeight="1"/>
    <row r="23" spans="2:18" ht="13" customHeight="1">
      <c r="B23" s="55" t="s">
        <v>2</v>
      </c>
      <c r="C23" s="56"/>
      <c r="D23" s="56"/>
      <c r="E23" s="57"/>
      <c r="G23" s="55" t="s">
        <v>1</v>
      </c>
      <c r="H23" s="56"/>
      <c r="I23" s="56"/>
      <c r="J23" s="57"/>
    </row>
    <row r="24" spans="2:18" ht="13" customHeight="1">
      <c r="B24" s="89"/>
      <c r="C24" s="90"/>
      <c r="D24" s="90"/>
      <c r="E24" s="91"/>
      <c r="G24" s="89"/>
      <c r="H24" s="90"/>
      <c r="I24" s="90"/>
      <c r="J24" s="91"/>
      <c r="M24" s="34"/>
    </row>
    <row r="25" spans="2:18" ht="5" customHeight="1"/>
    <row r="26" spans="2:18" ht="13" customHeight="1">
      <c r="B26" s="55" t="s">
        <v>66</v>
      </c>
      <c r="C26" s="56"/>
      <c r="D26" s="56"/>
      <c r="E26" s="57"/>
      <c r="G26" s="55" t="s">
        <v>75</v>
      </c>
      <c r="H26" s="56"/>
      <c r="I26" s="56"/>
      <c r="J26" s="57"/>
      <c r="M26" s="34"/>
      <c r="O26" s="34"/>
    </row>
    <row r="27" spans="2:18" ht="13" customHeight="1">
      <c r="B27" s="92"/>
      <c r="C27" s="93"/>
      <c r="D27" s="93"/>
      <c r="E27" s="94"/>
      <c r="G27" s="95"/>
      <c r="H27" s="96"/>
      <c r="I27" s="96"/>
      <c r="J27" s="97"/>
      <c r="O27" s="34"/>
    </row>
    <row r="28" spans="2:18" ht="5" customHeight="1"/>
    <row r="29" spans="2:18" ht="13" customHeight="1">
      <c r="B29" s="64" t="s">
        <v>71</v>
      </c>
      <c r="C29" s="65"/>
      <c r="D29" s="65"/>
      <c r="E29" s="65"/>
      <c r="F29" s="65"/>
      <c r="G29" s="65"/>
      <c r="H29" s="65"/>
      <c r="I29" s="65"/>
      <c r="J29" s="66"/>
      <c r="K29" s="14"/>
      <c r="L29" s="32"/>
      <c r="M29" s="32"/>
      <c r="N29" s="25"/>
      <c r="O29" s="25"/>
      <c r="P29" s="25"/>
      <c r="Q29" s="25"/>
      <c r="R29" s="25"/>
    </row>
    <row r="30" spans="2:18" ht="13" customHeight="1">
      <c r="B30" s="55" t="s">
        <v>16</v>
      </c>
      <c r="C30" s="56"/>
      <c r="D30" s="56"/>
      <c r="E30" s="56"/>
      <c r="F30" s="56"/>
      <c r="G30" s="56"/>
      <c r="H30" s="56"/>
      <c r="I30" s="56"/>
      <c r="J30" s="57"/>
      <c r="K30" s="18"/>
      <c r="L30" s="19"/>
      <c r="M30" s="32"/>
      <c r="N30" s="19"/>
      <c r="O30" s="19"/>
      <c r="P30" s="19"/>
      <c r="Q30" s="19"/>
      <c r="R30" s="19"/>
    </row>
    <row r="31" spans="2:18" ht="13" customHeight="1">
      <c r="B31" s="9" t="s">
        <v>67</v>
      </c>
      <c r="F31" s="49" t="str">
        <f>IF(Listas!G51=8,VLOOKUP(B24&amp;G24,Listas!M4:O13,2,0)*B27,"")</f>
        <v/>
      </c>
      <c r="G31" s="49"/>
      <c r="H31" s="29" t="str">
        <f>IF(Listas!G51=8,"a","")</f>
        <v/>
      </c>
      <c r="I31" s="49" t="str">
        <f>IF(Listas!G51=8,VLOOKUP(B24&amp;G24,Listas!M4:O13,3,0)*B27,"")</f>
        <v/>
      </c>
      <c r="J31" s="50"/>
      <c r="K31" s="9"/>
      <c r="M31" s="32"/>
    </row>
    <row r="32" spans="2:18" ht="13" customHeight="1">
      <c r="B32" s="9" t="s">
        <v>20</v>
      </c>
      <c r="F32" s="49" t="str">
        <f>IF(Listas!G51=8,IF(G18="Detenho o imóvel há mais de três anos",0,Listas!C49),"")</f>
        <v/>
      </c>
      <c r="G32" s="49"/>
      <c r="H32" s="49"/>
      <c r="I32" s="49"/>
      <c r="J32" s="50"/>
      <c r="K32" s="9"/>
      <c r="M32" s="32"/>
    </row>
    <row r="33" spans="2:18" ht="13" customHeight="1">
      <c r="B33" s="9" t="s">
        <v>45</v>
      </c>
      <c r="F33" s="49" t="str">
        <f>IF(Listas!G51=8,IF(G18="Detenho o imóvel há mais de três anos",0,G27*Listas!N22),"")</f>
        <v/>
      </c>
      <c r="G33" s="49"/>
      <c r="H33" s="49"/>
      <c r="I33" s="49"/>
      <c r="J33" s="50"/>
      <c r="K33" s="9"/>
      <c r="M33" s="32"/>
    </row>
    <row r="34" spans="2:18" ht="13" customHeight="1">
      <c r="B34" s="9" t="s">
        <v>70</v>
      </c>
      <c r="F34" s="49" t="str">
        <f>IF(Listas!G51=8,3*Listas!C51,"")</f>
        <v/>
      </c>
      <c r="G34" s="49"/>
      <c r="H34" s="49"/>
      <c r="I34" s="49"/>
      <c r="J34" s="50"/>
      <c r="K34" s="9"/>
      <c r="M34" s="32"/>
    </row>
    <row r="35" spans="2:18" ht="5" customHeight="1">
      <c r="B35" s="9"/>
      <c r="F35" s="30"/>
      <c r="G35" s="30"/>
      <c r="I35" s="30"/>
      <c r="J35" s="31"/>
      <c r="K35" s="9"/>
      <c r="M35" s="32" t="str">
        <f>IF(B24="","",1)</f>
        <v/>
      </c>
    </row>
    <row r="36" spans="2:18" ht="13" customHeight="1">
      <c r="B36" s="11" t="s">
        <v>46</v>
      </c>
      <c r="C36" s="12"/>
      <c r="D36" s="12"/>
      <c r="E36" s="12"/>
      <c r="F36" s="48" t="str">
        <f>IF(Listas!G51=8,F31+F32+F33+F34,"")</f>
        <v/>
      </c>
      <c r="G36" s="48"/>
      <c r="H36" s="27" t="str">
        <f>IF(Listas!G51=8,"a","")</f>
        <v/>
      </c>
      <c r="I36" s="48" t="str">
        <f>IF(Listas!G51=8,I31+F32+F33+F34,"")</f>
        <v/>
      </c>
      <c r="J36" s="51"/>
      <c r="K36" s="9"/>
      <c r="M36" s="32" t="str">
        <f>IF(B25="","",1)</f>
        <v/>
      </c>
    </row>
    <row r="37" spans="2:18" ht="13" customHeight="1">
      <c r="B37" s="55" t="s">
        <v>17</v>
      </c>
      <c r="C37" s="56"/>
      <c r="D37" s="56"/>
      <c r="E37" s="56"/>
      <c r="F37" s="56"/>
      <c r="G37" s="56"/>
      <c r="H37" s="56"/>
      <c r="I37" s="56"/>
      <c r="J37" s="57"/>
      <c r="K37" s="18"/>
      <c r="L37" s="35"/>
      <c r="M37" s="35"/>
      <c r="N37" s="19"/>
      <c r="O37" s="19"/>
      <c r="P37" s="19"/>
      <c r="Q37" s="19"/>
      <c r="R37" s="19"/>
    </row>
    <row r="38" spans="2:18" ht="13" customHeight="1">
      <c r="B38" s="9" t="s">
        <v>18</v>
      </c>
      <c r="F38" s="49" t="str">
        <f>IF(Listas!G51=8,IF(B18=Listas!K5,Listas!C68,Listas!C59),"")</f>
        <v/>
      </c>
      <c r="G38" s="49"/>
      <c r="H38" s="29" t="str">
        <f>IF(Listas!G51=8,"a","")</f>
        <v/>
      </c>
      <c r="I38" s="49" t="str">
        <f>IF(Listas!G51=8,IF(B18=Listas!K5,Listas!D68,Listas!D59),"")</f>
        <v/>
      </c>
      <c r="J38" s="50"/>
      <c r="K38" s="9"/>
      <c r="N38" s="26"/>
      <c r="O38" s="36"/>
      <c r="P38" s="26"/>
      <c r="Q38" s="26"/>
      <c r="R38" s="26"/>
    </row>
    <row r="39" spans="2:18" ht="13" customHeight="1">
      <c r="B39" s="9" t="s">
        <v>20</v>
      </c>
      <c r="F39" s="49" t="str">
        <f>IF(Listas!G51=8,IF(G18="Detenho o imóvel há mais de três anos",0,IF(B21="Terreno para Construir",0,IF(VLOOKUP(G24,Listas!B4:C8,2,0)-VLOOKUP(B24,Listas!B4:C8,2,0)&lt;2,0,F32))),"")</f>
        <v/>
      </c>
      <c r="G39" s="49"/>
      <c r="H39" s="49"/>
      <c r="I39" s="49"/>
      <c r="J39" s="50"/>
      <c r="K39" s="9"/>
    </row>
    <row r="40" spans="2:18" ht="13" customHeight="1">
      <c r="B40" s="9" t="s">
        <v>19</v>
      </c>
      <c r="F40" s="49" t="str">
        <f>IF(Listas!G51=8,IF(G18="Detenho o imóvel há mais de três anos",0,IF(B21="Terreno para Construir",0,IF(VLOOKUP(G24,Listas!B4:C8,2,0)-VLOOKUP(B24,Listas!B4:C8,2,0)&lt;2,0,F34))),"")</f>
        <v/>
      </c>
      <c r="G40" s="49"/>
      <c r="H40" s="49"/>
      <c r="I40" s="49"/>
      <c r="J40" s="50"/>
      <c r="K40" s="9"/>
    </row>
    <row r="41" spans="2:18" ht="5" customHeight="1">
      <c r="B41" s="9"/>
      <c r="J41" s="10"/>
      <c r="K41" s="9"/>
    </row>
    <row r="42" spans="2:18" ht="13" customHeight="1">
      <c r="B42" s="14" t="s">
        <v>17</v>
      </c>
      <c r="C42" s="32"/>
      <c r="D42" s="32"/>
      <c r="E42" s="32"/>
      <c r="F42" s="47" t="str">
        <f>IF(Listas!G51=8,ROUND(F38+F39+F40,0),"")</f>
        <v/>
      </c>
      <c r="G42" s="47"/>
      <c r="H42" s="33" t="str">
        <f>IF(Listas!G51=8,"a","")</f>
        <v/>
      </c>
      <c r="I42" s="47" t="str">
        <f>IF(Listas!G51=8,ROUND(I38+F39+F40,0),"")</f>
        <v/>
      </c>
      <c r="J42" s="68"/>
      <c r="K42" s="9"/>
    </row>
    <row r="43" spans="2:18" ht="5" customHeight="1">
      <c r="B43" s="9"/>
      <c r="F43" s="30"/>
      <c r="G43" s="30"/>
      <c r="I43" s="30"/>
      <c r="J43" s="31"/>
      <c r="K43" s="9"/>
    </row>
    <row r="44" spans="2:18" ht="13" customHeight="1">
      <c r="B44" s="11" t="s">
        <v>47</v>
      </c>
      <c r="C44" s="13"/>
      <c r="D44" s="13"/>
      <c r="E44" s="13"/>
      <c r="F44" s="48" t="str">
        <f>IF(Listas!G51=8,F36-F42,"")</f>
        <v/>
      </c>
      <c r="G44" s="48"/>
      <c r="H44" s="28" t="str">
        <f>IF(Listas!G51=8,"a","")</f>
        <v/>
      </c>
      <c r="I44" s="48" t="str">
        <f>IF(Listas!G51=8,I36-I42,"")</f>
        <v/>
      </c>
      <c r="J44" s="51"/>
      <c r="K44" s="9"/>
    </row>
    <row r="45" spans="2:18" ht="5" customHeight="1"/>
    <row r="46" spans="2:18" ht="13" customHeight="1">
      <c r="B46" s="67" t="str">
        <f>IF(Listas!G51=8,"A presente Operação de Reabilitação Urbana poderá beneficiar de uma redução entre os "&amp; F42&amp;" € e os "&amp;I42&amp;" €","")</f>
        <v/>
      </c>
      <c r="C46" s="67"/>
      <c r="D46" s="67"/>
      <c r="E46" s="67"/>
      <c r="F46" s="67"/>
      <c r="G46" s="67"/>
      <c r="H46" s="67"/>
      <c r="I46" s="67"/>
      <c r="J46" s="67"/>
    </row>
    <row r="47" spans="2:18" ht="5" customHeight="1"/>
    <row r="48" spans="2:18" ht="13" customHeight="1">
      <c r="B48" s="61" t="s">
        <v>104</v>
      </c>
      <c r="C48" s="62"/>
      <c r="D48" s="62"/>
      <c r="E48" s="62"/>
      <c r="F48" s="62"/>
      <c r="G48" s="62"/>
      <c r="H48" s="62"/>
      <c r="I48" s="62"/>
      <c r="J48" s="63"/>
    </row>
    <row r="49" spans="2:10" ht="11" customHeight="1">
      <c r="B49" s="42" t="s">
        <v>105</v>
      </c>
      <c r="C49" s="37"/>
      <c r="D49" s="37"/>
      <c r="E49" s="37"/>
      <c r="F49" s="37"/>
      <c r="G49" s="37"/>
      <c r="H49" s="37"/>
      <c r="I49" s="37"/>
      <c r="J49" s="38"/>
    </row>
    <row r="50" spans="2:10" ht="11" customHeight="1">
      <c r="B50" s="42" t="s">
        <v>79</v>
      </c>
      <c r="C50" s="37"/>
      <c r="D50" s="37"/>
      <c r="E50" s="37"/>
      <c r="F50" s="37"/>
      <c r="G50" s="37"/>
      <c r="H50" s="37"/>
      <c r="I50" s="37"/>
      <c r="J50" s="38"/>
    </row>
    <row r="51" spans="2:10" ht="11" customHeight="1">
      <c r="B51" s="42" t="s">
        <v>80</v>
      </c>
      <c r="C51" s="37"/>
      <c r="D51" s="37"/>
      <c r="E51" s="37"/>
      <c r="F51" s="37"/>
      <c r="G51" s="37"/>
      <c r="H51" s="37"/>
      <c r="I51" s="37"/>
      <c r="J51" s="38"/>
    </row>
    <row r="52" spans="2:10" ht="11" customHeight="1">
      <c r="B52" s="42" t="s">
        <v>83</v>
      </c>
      <c r="C52" s="37"/>
      <c r="D52" s="37"/>
      <c r="E52" s="37"/>
      <c r="F52" s="37"/>
      <c r="G52" s="37"/>
      <c r="H52" s="37"/>
      <c r="I52" s="37"/>
      <c r="J52" s="38"/>
    </row>
    <row r="53" spans="2:10" ht="11" customHeight="1">
      <c r="B53" s="43" t="s">
        <v>84</v>
      </c>
      <c r="C53" s="37"/>
      <c r="D53" s="37"/>
      <c r="E53" s="37"/>
      <c r="F53" s="37"/>
      <c r="G53" s="37"/>
      <c r="H53" s="37"/>
      <c r="I53" s="37"/>
      <c r="J53" s="38"/>
    </row>
    <row r="54" spans="2:10" ht="11" customHeight="1">
      <c r="B54" s="42" t="s">
        <v>85</v>
      </c>
      <c r="C54" s="37"/>
      <c r="D54" s="37"/>
      <c r="E54" s="37"/>
      <c r="F54" s="37"/>
      <c r="G54" s="37"/>
      <c r="H54" s="37"/>
      <c r="I54" s="37"/>
      <c r="J54" s="38"/>
    </row>
    <row r="55" spans="2:10" ht="11" customHeight="1">
      <c r="B55" s="44" t="s">
        <v>86</v>
      </c>
      <c r="C55" s="37"/>
      <c r="D55" s="37"/>
      <c r="E55" s="37"/>
      <c r="F55" s="37"/>
      <c r="G55" s="37"/>
      <c r="H55" s="37"/>
      <c r="I55" s="37"/>
      <c r="J55" s="38"/>
    </row>
    <row r="56" spans="2:10" ht="11" customHeight="1">
      <c r="B56" s="43" t="s">
        <v>87</v>
      </c>
      <c r="C56" s="37"/>
      <c r="D56" s="37"/>
      <c r="E56" s="37"/>
      <c r="F56" s="37"/>
      <c r="G56" s="37"/>
      <c r="H56" s="37"/>
      <c r="I56" s="37"/>
      <c r="J56" s="38"/>
    </row>
    <row r="57" spans="2:10" ht="11" customHeight="1">
      <c r="B57" s="44" t="s">
        <v>88</v>
      </c>
      <c r="C57" s="37"/>
      <c r="D57" s="37"/>
      <c r="E57" s="37"/>
      <c r="F57" s="37"/>
      <c r="G57" s="37"/>
      <c r="H57" s="37"/>
      <c r="I57" s="37"/>
      <c r="J57" s="38"/>
    </row>
    <row r="58" spans="2:10" ht="11" customHeight="1">
      <c r="B58" s="44" t="s">
        <v>106</v>
      </c>
      <c r="C58" s="37"/>
      <c r="D58" s="37"/>
      <c r="E58" s="37"/>
      <c r="F58" s="37"/>
      <c r="G58" s="37"/>
      <c r="H58" s="37"/>
      <c r="I58" s="37"/>
      <c r="J58" s="38"/>
    </row>
    <row r="59" spans="2:10" ht="11" customHeight="1">
      <c r="B59" s="43" t="s">
        <v>107</v>
      </c>
      <c r="C59" s="37"/>
      <c r="D59" s="37"/>
      <c r="E59" s="37"/>
      <c r="F59" s="37"/>
      <c r="G59" s="37"/>
      <c r="H59" s="37"/>
      <c r="I59" s="37"/>
      <c r="J59" s="38"/>
    </row>
    <row r="60" spans="2:10" ht="11" customHeight="1">
      <c r="B60" s="42" t="s">
        <v>81</v>
      </c>
      <c r="C60" s="37"/>
      <c r="D60" s="37"/>
      <c r="E60" s="37"/>
      <c r="F60" s="37"/>
      <c r="G60" s="37"/>
      <c r="H60" s="37"/>
      <c r="I60" s="37"/>
      <c r="J60" s="38"/>
    </row>
    <row r="61" spans="2:10" ht="11" customHeight="1">
      <c r="B61" s="42" t="s">
        <v>82</v>
      </c>
      <c r="C61" s="37"/>
      <c r="D61" s="37"/>
      <c r="E61" s="37"/>
      <c r="F61" s="37"/>
      <c r="G61" s="37"/>
      <c r="H61" s="37"/>
      <c r="I61" s="37"/>
      <c r="J61" s="38"/>
    </row>
    <row r="62" spans="2:10" ht="11" customHeight="1">
      <c r="B62" s="42" t="s">
        <v>108</v>
      </c>
      <c r="C62" s="35"/>
      <c r="D62" s="35"/>
      <c r="E62" s="35"/>
      <c r="F62" s="35"/>
      <c r="G62" s="35"/>
      <c r="H62" s="35"/>
      <c r="I62" s="35"/>
      <c r="J62" s="39"/>
    </row>
    <row r="63" spans="2:10" ht="11" customHeight="1">
      <c r="B63" s="45" t="s">
        <v>91</v>
      </c>
      <c r="C63" s="35"/>
      <c r="D63" s="35"/>
      <c r="E63" s="35"/>
      <c r="F63" s="35"/>
      <c r="G63" s="35"/>
      <c r="H63" s="35"/>
      <c r="I63" s="35"/>
      <c r="J63" s="39"/>
    </row>
    <row r="64" spans="2:10" ht="11" customHeight="1">
      <c r="B64" s="42" t="s">
        <v>89</v>
      </c>
      <c r="C64" s="35"/>
      <c r="D64" s="35"/>
      <c r="E64" s="35"/>
      <c r="F64" s="35"/>
      <c r="G64" s="35"/>
      <c r="H64" s="35"/>
      <c r="I64" s="35"/>
      <c r="J64" s="39"/>
    </row>
    <row r="65" spans="2:10" ht="11" customHeight="1">
      <c r="B65" s="46" t="s">
        <v>90</v>
      </c>
      <c r="C65" s="40"/>
      <c r="D65" s="40"/>
      <c r="E65" s="40"/>
      <c r="F65" s="40"/>
      <c r="G65" s="40"/>
      <c r="H65" s="40"/>
      <c r="I65" s="40"/>
      <c r="J65" s="41"/>
    </row>
  </sheetData>
  <sheetProtection algorithmName="SHA-512" hashValue="OzUCJiUPFmUr4Yrsmr5RQHMyFLXJiB9FxFORxtMrpNA0vWraMBou+g/7VKs2zePU2nP9/xv9QjAt+6zh4q9zeQ==" saltValue="pc7uOpayUGS0rd2iXzcMRw==" spinCount="100000" sheet="1" objects="1" scenarios="1" selectLockedCells="1"/>
  <mergeCells count="40">
    <mergeCell ref="B48:J48"/>
    <mergeCell ref="B37:J37"/>
    <mergeCell ref="B30:J30"/>
    <mergeCell ref="B29:J29"/>
    <mergeCell ref="B14:J14"/>
    <mergeCell ref="B15:J15"/>
    <mergeCell ref="B46:J46"/>
    <mergeCell ref="B27:E27"/>
    <mergeCell ref="B26:E26"/>
    <mergeCell ref="G26:J26"/>
    <mergeCell ref="G27:J27"/>
    <mergeCell ref="F38:G38"/>
    <mergeCell ref="I42:J42"/>
    <mergeCell ref="I44:J44"/>
    <mergeCell ref="F36:G36"/>
    <mergeCell ref="F34:J34"/>
    <mergeCell ref="B2:J2"/>
    <mergeCell ref="G24:J24"/>
    <mergeCell ref="G23:J23"/>
    <mergeCell ref="B24:E24"/>
    <mergeCell ref="B23:E23"/>
    <mergeCell ref="B4:J4"/>
    <mergeCell ref="B18:E18"/>
    <mergeCell ref="B17:E17"/>
    <mergeCell ref="G18:J18"/>
    <mergeCell ref="G17:J17"/>
    <mergeCell ref="G21:J21"/>
    <mergeCell ref="G20:J20"/>
    <mergeCell ref="B21:E21"/>
    <mergeCell ref="B20:E20"/>
    <mergeCell ref="F33:J33"/>
    <mergeCell ref="F32:J32"/>
    <mergeCell ref="F31:G31"/>
    <mergeCell ref="I36:J36"/>
    <mergeCell ref="I31:J31"/>
    <mergeCell ref="F42:G42"/>
    <mergeCell ref="F44:G44"/>
    <mergeCell ref="F40:J40"/>
    <mergeCell ref="F39:J39"/>
    <mergeCell ref="I38:J38"/>
  </mergeCells>
  <printOptions horizontalCentered="1"/>
  <pageMargins left="0.25" right="0.25" top="0.75" bottom="0.75" header="0.3" footer="0.3"/>
  <pageSetup paperSize="9" orientation="portrait" r:id="rId1"/>
  <headerFooter>
    <oddHeader>&amp;L&amp;"System Font,Regular"&amp;K000000&amp;G</oddHeader>
    <oddFooter>&amp;L&amp;8#FG_17/01/2023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21C17DB-425A-C54B-8D7F-4749E98B4B70}">
          <x14:formula1>
            <xm:f>Listas!$E$3:$E$4</xm:f>
          </x14:formula1>
          <xm:sqref>G18:J18</xm:sqref>
        </x14:dataValidation>
        <x14:dataValidation type="list" allowBlank="1" showInputMessage="1" showErrorMessage="1" xr:uid="{D6EC2FA9-C8CA-0F48-AE28-FBAB6955FD0B}">
          <x14:formula1>
            <xm:f>Listas!$G$3:$G$6</xm:f>
          </x14:formula1>
          <xm:sqref>G21:J21</xm:sqref>
        </x14:dataValidation>
        <x14:dataValidation type="list" allowBlank="1" showInputMessage="1" showErrorMessage="1" xr:uid="{80CB9790-6DA2-2F45-9D1D-8B217EC78814}">
          <x14:formula1>
            <xm:f>Listas!$K$3:$K$5</xm:f>
          </x14:formula1>
          <xm:sqref>B18:F18</xm:sqref>
        </x14:dataValidation>
        <x14:dataValidation type="list" allowBlank="1" showInputMessage="1" showErrorMessage="1" xr:uid="{F9A3C7E9-D0C1-8640-B5B8-3E35810A1015}">
          <x14:formula1>
            <xm:f>Listas!$I$3:$I$4</xm:f>
          </x14:formula1>
          <xm:sqref>B21:E21</xm:sqref>
        </x14:dataValidation>
        <x14:dataValidation type="list" allowBlank="1" showInputMessage="1" showErrorMessage="1" xr:uid="{0479EB7A-54EE-4849-B22B-A1DD3F00C735}">
          <x14:formula1>
            <xm:f>Listas!$B$3:$B$8</xm:f>
          </x14:formula1>
          <xm:sqref>G24:J24</xm:sqref>
        </x14:dataValidation>
        <x14:dataValidation type="list" allowBlank="1" showInputMessage="1" showErrorMessage="1" xr:uid="{99D1D695-C3EE-DD4B-87EA-0A0A4B7B5287}">
          <x14:formula1>
            <xm:f>Listas!$B$4:$B$9</xm:f>
          </x14:formula1>
          <xm:sqref>B24:E24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783DB-1227-4E4D-9108-1E3079629C3C}">
  <dimension ref="B2:P68"/>
  <sheetViews>
    <sheetView topLeftCell="A2" zoomScale="90" zoomScaleNormal="90" workbookViewId="0">
      <selection activeCell="A2" sqref="A2"/>
    </sheetView>
  </sheetViews>
  <sheetFormatPr baseColWidth="10" defaultColWidth="11.5" defaultRowHeight="13"/>
  <cols>
    <col min="1" max="1" width="5.6640625" style="81" customWidth="1"/>
    <col min="2" max="2" width="45.5" style="81" customWidth="1"/>
    <col min="3" max="3" width="19.5" style="81" customWidth="1"/>
    <col min="4" max="4" width="11.5" style="81"/>
    <col min="5" max="5" width="38.5" style="81" customWidth="1"/>
    <col min="6" max="6" width="5.6640625" style="81" customWidth="1"/>
    <col min="7" max="7" width="35" style="81" bestFit="1" customWidth="1"/>
    <col min="8" max="8" width="5.6640625" style="81" customWidth="1"/>
    <col min="9" max="9" width="25" style="81" customWidth="1"/>
    <col min="10" max="10" width="5.6640625" style="81" customWidth="1"/>
    <col min="11" max="12" width="11.5" style="81"/>
    <col min="13" max="13" width="16.6640625" style="81" bestFit="1" customWidth="1"/>
    <col min="14" max="16384" width="11.5" style="81"/>
  </cols>
  <sheetData>
    <row r="2" spans="2:15">
      <c r="B2" s="80" t="s">
        <v>10</v>
      </c>
      <c r="C2" s="80"/>
      <c r="E2" s="82" t="s">
        <v>11</v>
      </c>
      <c r="G2" s="82" t="s">
        <v>12</v>
      </c>
      <c r="I2" s="82" t="s">
        <v>55</v>
      </c>
      <c r="K2" s="82" t="s">
        <v>21</v>
      </c>
      <c r="M2" s="80" t="s">
        <v>24</v>
      </c>
      <c r="N2" s="80"/>
      <c r="O2" s="80"/>
    </row>
    <row r="3" spans="2:15">
      <c r="B3" s="81" t="s">
        <v>68</v>
      </c>
      <c r="E3" s="81" t="s">
        <v>72</v>
      </c>
      <c r="G3" s="81" t="s">
        <v>13</v>
      </c>
      <c r="I3" s="81" t="s">
        <v>56</v>
      </c>
      <c r="K3" s="81" t="s">
        <v>52</v>
      </c>
      <c r="M3" s="83" t="s">
        <v>25</v>
      </c>
      <c r="N3" s="83" t="s">
        <v>26</v>
      </c>
      <c r="O3" s="83" t="s">
        <v>27</v>
      </c>
    </row>
    <row r="4" spans="2:15">
      <c r="B4" s="81" t="s">
        <v>3</v>
      </c>
      <c r="C4" s="81">
        <v>5</v>
      </c>
      <c r="E4" s="81" t="s">
        <v>73</v>
      </c>
      <c r="G4" s="81" t="s">
        <v>51</v>
      </c>
      <c r="I4" s="81" t="s">
        <v>57</v>
      </c>
      <c r="K4" s="81" t="s">
        <v>22</v>
      </c>
      <c r="M4" s="81" t="s">
        <v>28</v>
      </c>
      <c r="N4" s="81">
        <f>'Estimativa de Custo'!G9</f>
        <v>430</v>
      </c>
      <c r="O4" s="81">
        <f>'Estimativa de Custo'!I9</f>
        <v>610</v>
      </c>
    </row>
    <row r="5" spans="2:15">
      <c r="B5" s="81" t="s">
        <v>4</v>
      </c>
      <c r="C5" s="81">
        <v>4</v>
      </c>
      <c r="G5" s="81" t="s">
        <v>14</v>
      </c>
      <c r="K5" s="81" t="s">
        <v>23</v>
      </c>
      <c r="M5" s="81" t="s">
        <v>29</v>
      </c>
      <c r="N5" s="81">
        <f>'Estimativa de Custo'!J9</f>
        <v>610</v>
      </c>
      <c r="O5" s="81">
        <f>'Estimativa de Custo'!L9</f>
        <v>790</v>
      </c>
    </row>
    <row r="6" spans="2:15">
      <c r="B6" s="81" t="s">
        <v>5</v>
      </c>
      <c r="C6" s="81">
        <v>3</v>
      </c>
      <c r="G6" s="81" t="s">
        <v>15</v>
      </c>
      <c r="M6" s="81" t="s">
        <v>30</v>
      </c>
      <c r="N6" s="81">
        <f>'Estimativa de Custo'!M9</f>
        <v>790</v>
      </c>
      <c r="O6" s="81">
        <f>'Estimativa de Custo'!O9</f>
        <v>970</v>
      </c>
    </row>
    <row r="7" spans="2:15">
      <c r="B7" s="81" t="s">
        <v>6</v>
      </c>
      <c r="C7" s="81">
        <v>2</v>
      </c>
      <c r="M7" s="81" t="s">
        <v>31</v>
      </c>
      <c r="N7" s="81">
        <f>'Estimativa de Custo'!P9</f>
        <v>970</v>
      </c>
      <c r="O7" s="81">
        <f>'Estimativa de Custo'!R9</f>
        <v>1150</v>
      </c>
    </row>
    <row r="8" spans="2:15">
      <c r="B8" s="81" t="s">
        <v>7</v>
      </c>
      <c r="C8" s="81">
        <v>1</v>
      </c>
      <c r="M8" s="81" t="s">
        <v>32</v>
      </c>
      <c r="N8" s="81">
        <f>'Estimativa de Custo'!J8</f>
        <v>430</v>
      </c>
      <c r="O8" s="81">
        <f>'Estimativa de Custo'!L8</f>
        <v>610</v>
      </c>
    </row>
    <row r="9" spans="2:15">
      <c r="B9" s="81" t="s">
        <v>69</v>
      </c>
      <c r="M9" s="81" t="s">
        <v>33</v>
      </c>
      <c r="N9" s="81">
        <f>'Estimativa de Custo'!M8</f>
        <v>610</v>
      </c>
      <c r="O9" s="81">
        <f>'Estimativa de Custo'!O8</f>
        <v>790</v>
      </c>
    </row>
    <row r="10" spans="2:15">
      <c r="M10" s="81" t="s">
        <v>34</v>
      </c>
      <c r="N10" s="81">
        <f>'Estimativa de Custo'!P8</f>
        <v>790</v>
      </c>
      <c r="O10" s="81">
        <f>'Estimativa de Custo'!R8</f>
        <v>970</v>
      </c>
    </row>
    <row r="11" spans="2:15">
      <c r="M11" s="81" t="s">
        <v>35</v>
      </c>
      <c r="N11" s="81">
        <f>'Estimativa de Custo'!M7</f>
        <v>430</v>
      </c>
      <c r="O11" s="81">
        <f>'Estimativa de Custo'!O7</f>
        <v>610</v>
      </c>
    </row>
    <row r="12" spans="2:15">
      <c r="M12" s="81" t="s">
        <v>36</v>
      </c>
      <c r="N12" s="81">
        <f>'Estimativa de Custo'!P7</f>
        <v>610</v>
      </c>
      <c r="O12" s="81">
        <f>'Estimativa de Custo'!R7</f>
        <v>790</v>
      </c>
    </row>
    <row r="13" spans="2:15">
      <c r="M13" s="81" t="s">
        <v>37</v>
      </c>
      <c r="N13" s="81">
        <f>'Estimativa de Custo'!P6</f>
        <v>430</v>
      </c>
      <c r="O13" s="81">
        <f>'Estimativa de Custo'!R6</f>
        <v>610</v>
      </c>
    </row>
    <row r="19" spans="2:16">
      <c r="B19" s="81" t="s">
        <v>20</v>
      </c>
      <c r="M19" s="81" t="s">
        <v>19</v>
      </c>
      <c r="P19" s="81" t="s">
        <v>41</v>
      </c>
    </row>
    <row r="20" spans="2:16">
      <c r="B20" s="81" t="s">
        <v>13</v>
      </c>
      <c r="D20" s="81" t="s">
        <v>42</v>
      </c>
      <c r="E20" s="81" t="s">
        <v>43</v>
      </c>
      <c r="G20" s="81" t="s">
        <v>20</v>
      </c>
      <c r="M20" s="81" t="s">
        <v>40</v>
      </c>
      <c r="N20" s="84">
        <v>3.3E-3</v>
      </c>
      <c r="P20" s="84">
        <v>0.6</v>
      </c>
    </row>
    <row r="21" spans="2:16">
      <c r="B21" s="85"/>
      <c r="C21" s="85">
        <v>93331</v>
      </c>
      <c r="D21" s="86">
        <v>0</v>
      </c>
      <c r="E21" s="81">
        <v>0</v>
      </c>
      <c r="G21" s="81" t="str">
        <f t="shared" ref="G21:G27" si="0">IF($C$45&gt;B21,IF($C$45&lt;=C21,$C$45*D21-E21,""),"")</f>
        <v/>
      </c>
    </row>
    <row r="22" spans="2:16">
      <c r="B22" s="85">
        <v>93332</v>
      </c>
      <c r="C22" s="85">
        <v>127667</v>
      </c>
      <c r="D22" s="86">
        <v>0.02</v>
      </c>
      <c r="E22" s="81">
        <v>1862.62</v>
      </c>
      <c r="G22" s="81" t="str">
        <f t="shared" si="0"/>
        <v/>
      </c>
      <c r="M22" s="81" t="s">
        <v>45</v>
      </c>
      <c r="N22" s="84">
        <v>8.0000000000000002E-3</v>
      </c>
    </row>
    <row r="23" spans="2:16">
      <c r="B23" s="85">
        <v>127668</v>
      </c>
      <c r="C23" s="85">
        <v>174071</v>
      </c>
      <c r="D23" s="86">
        <v>0.05</v>
      </c>
      <c r="E23" s="81">
        <v>5696.63</v>
      </c>
      <c r="G23" s="81" t="str">
        <f t="shared" si="0"/>
        <v/>
      </c>
    </row>
    <row r="24" spans="2:16">
      <c r="B24" s="85">
        <v>174072</v>
      </c>
      <c r="C24" s="85">
        <v>290085</v>
      </c>
      <c r="D24" s="86">
        <v>7.0000000000000007E-2</v>
      </c>
      <c r="E24" s="81">
        <v>9178.06</v>
      </c>
      <c r="G24" s="81" t="str">
        <f t="shared" si="0"/>
        <v/>
      </c>
    </row>
    <row r="25" spans="2:16">
      <c r="B25" s="85">
        <v>290086</v>
      </c>
      <c r="C25" s="85">
        <v>580066</v>
      </c>
      <c r="D25" s="86">
        <v>0.08</v>
      </c>
      <c r="E25" s="81">
        <v>12078.91</v>
      </c>
      <c r="G25" s="81" t="str">
        <f t="shared" si="0"/>
        <v/>
      </c>
    </row>
    <row r="26" spans="2:16">
      <c r="B26" s="85">
        <v>580067</v>
      </c>
      <c r="C26" s="85">
        <v>1010000</v>
      </c>
      <c r="D26" s="86">
        <v>0.06</v>
      </c>
      <c r="E26" s="81">
        <v>0</v>
      </c>
      <c r="G26" s="81" t="str">
        <f t="shared" si="0"/>
        <v/>
      </c>
    </row>
    <row r="27" spans="2:16">
      <c r="B27" s="85">
        <v>1010001</v>
      </c>
      <c r="C27" s="85"/>
      <c r="D27" s="86">
        <v>7.4999999999999997E-2</v>
      </c>
      <c r="E27" s="81">
        <v>0</v>
      </c>
      <c r="G27" s="81" t="str">
        <f t="shared" si="0"/>
        <v/>
      </c>
    </row>
    <row r="28" spans="2:16">
      <c r="B28" s="85"/>
      <c r="C28" s="85"/>
    </row>
    <row r="29" spans="2:16">
      <c r="B29" s="81" t="s">
        <v>51</v>
      </c>
      <c r="D29" s="81" t="s">
        <v>42</v>
      </c>
      <c r="E29" s="81" t="s">
        <v>43</v>
      </c>
    </row>
    <row r="30" spans="2:16">
      <c r="B30" s="85">
        <v>0</v>
      </c>
      <c r="C30" s="85">
        <v>93331</v>
      </c>
      <c r="D30" s="86">
        <v>0.01</v>
      </c>
      <c r="E30" s="81">
        <v>0</v>
      </c>
      <c r="G30" s="81" t="str">
        <f t="shared" ref="G30:G36" si="1">IF($C$45&gt;B30,IF($C$45&lt;=C30,$C$45*D30-E30,""),"")</f>
        <v/>
      </c>
    </row>
    <row r="31" spans="2:16">
      <c r="B31" s="85">
        <v>93332</v>
      </c>
      <c r="C31" s="85">
        <v>127667</v>
      </c>
      <c r="D31" s="86">
        <v>0.02</v>
      </c>
      <c r="E31" s="81">
        <v>933.31</v>
      </c>
      <c r="G31" s="81" t="str">
        <f t="shared" si="1"/>
        <v/>
      </c>
    </row>
    <row r="32" spans="2:16">
      <c r="B32" s="85">
        <v>127668</v>
      </c>
      <c r="C32" s="85">
        <v>174071</v>
      </c>
      <c r="D32" s="86">
        <v>0.05</v>
      </c>
      <c r="E32" s="81">
        <v>4763.32</v>
      </c>
      <c r="G32" s="81" t="str">
        <f t="shared" si="1"/>
        <v/>
      </c>
    </row>
    <row r="33" spans="2:7">
      <c r="B33" s="85">
        <v>174072</v>
      </c>
      <c r="C33" s="85">
        <v>290085</v>
      </c>
      <c r="D33" s="86">
        <v>7.0000000000000007E-2</v>
      </c>
      <c r="E33" s="81">
        <v>8244.75</v>
      </c>
      <c r="G33" s="81" t="str">
        <f t="shared" si="1"/>
        <v/>
      </c>
    </row>
    <row r="34" spans="2:7">
      <c r="B34" s="85">
        <v>290086</v>
      </c>
      <c r="C34" s="85">
        <v>580066</v>
      </c>
      <c r="D34" s="86">
        <v>0.08</v>
      </c>
      <c r="E34" s="81">
        <v>11145.6</v>
      </c>
      <c r="G34" s="81" t="str">
        <f t="shared" si="1"/>
        <v/>
      </c>
    </row>
    <row r="35" spans="2:7">
      <c r="B35" s="85">
        <v>580067</v>
      </c>
      <c r="C35" s="85">
        <v>1010000</v>
      </c>
      <c r="D35" s="86">
        <v>0.06</v>
      </c>
      <c r="E35" s="81">
        <v>0</v>
      </c>
      <c r="G35" s="81" t="str">
        <f t="shared" si="1"/>
        <v/>
      </c>
    </row>
    <row r="36" spans="2:7">
      <c r="B36" s="85">
        <v>1010001</v>
      </c>
      <c r="C36" s="85"/>
      <c r="D36" s="86">
        <v>7.4999999999999997E-2</v>
      </c>
      <c r="E36" s="81">
        <v>0</v>
      </c>
      <c r="G36" s="81" t="str">
        <f t="shared" si="1"/>
        <v/>
      </c>
    </row>
    <row r="38" spans="2:7">
      <c r="B38" s="81" t="s">
        <v>44</v>
      </c>
      <c r="D38" s="86">
        <v>6.5000000000000002E-2</v>
      </c>
    </row>
    <row r="42" spans="2:7">
      <c r="B42" s="80" t="s">
        <v>48</v>
      </c>
      <c r="C42" s="80"/>
      <c r="D42" s="80"/>
      <c r="E42" s="80"/>
      <c r="G42" s="82" t="s">
        <v>109</v>
      </c>
    </row>
    <row r="43" spans="2:7">
      <c r="B43" s="81" t="s">
        <v>49</v>
      </c>
      <c r="C43" s="81">
        <f>'Braga | Reabilitação Urbana'!G21</f>
        <v>0</v>
      </c>
      <c r="G43" s="81" t="str">
        <f>IF('Braga | Reabilitação Urbana'!B18="","",1)</f>
        <v/>
      </c>
    </row>
    <row r="44" spans="2:7">
      <c r="B44" s="81" t="s">
        <v>55</v>
      </c>
      <c r="C44" s="81">
        <f>'Braga | Reabilitação Urbana'!B21</f>
        <v>0</v>
      </c>
      <c r="G44" s="81" t="str">
        <f>IF('Braga | Reabilitação Urbana'!B21="","",1)</f>
        <v/>
      </c>
    </row>
    <row r="45" spans="2:7">
      <c r="B45" s="81" t="s">
        <v>50</v>
      </c>
      <c r="C45" s="85">
        <f>'Braga | Reabilitação Urbana'!G27</f>
        <v>0</v>
      </c>
      <c r="G45" s="81" t="str">
        <f>IF('Braga | Reabilitação Urbana'!B24="","",1)</f>
        <v/>
      </c>
    </row>
    <row r="46" spans="2:7">
      <c r="B46" s="81" t="s">
        <v>76</v>
      </c>
      <c r="C46" s="85" t="e">
        <f>('Braga | Reabilitação Urbana'!F31+'Braga | Reabilitação Urbana'!I31)/2</f>
        <v>#VALUE!</v>
      </c>
      <c r="D46" s="87">
        <v>0.8</v>
      </c>
      <c r="E46" s="81" t="s">
        <v>77</v>
      </c>
      <c r="G46" s="81" t="str">
        <f>IF('Braga | Reabilitação Urbana'!B27="","",1)</f>
        <v/>
      </c>
    </row>
    <row r="47" spans="2:7">
      <c r="B47" s="81" t="s">
        <v>78</v>
      </c>
      <c r="C47" s="85" t="e">
        <f>IF(C44="Edifício para Reabilitar",C45,(C45+C46*D46))</f>
        <v>#VALUE!</v>
      </c>
      <c r="G47" s="81" t="str">
        <f>IF('Braga | Reabilitação Urbana'!G18="","",1)</f>
        <v/>
      </c>
    </row>
    <row r="48" spans="2:7">
      <c r="C48" s="85"/>
      <c r="G48" s="81" t="str">
        <f>IF('Braga | Reabilitação Urbana'!G21="","",1)</f>
        <v/>
      </c>
    </row>
    <row r="49" spans="2:7">
      <c r="B49" s="81" t="s">
        <v>20</v>
      </c>
      <c r="C49" s="85">
        <f>IF(C43=B20,SUM(G21:G27),IF(C43=B29,SUM(G30:G36),C45*D38))</f>
        <v>0</v>
      </c>
      <c r="G49" s="81" t="str">
        <f>IF('Braga | Reabilitação Urbana'!G24="","",1)</f>
        <v/>
      </c>
    </row>
    <row r="50" spans="2:7">
      <c r="G50" s="81" t="str">
        <f>IF('Braga | Reabilitação Urbana'!G27="","",1)</f>
        <v/>
      </c>
    </row>
    <row r="51" spans="2:7">
      <c r="B51" s="81" t="s">
        <v>19</v>
      </c>
      <c r="C51" s="81" t="e">
        <f>C47*N20</f>
        <v>#VALUE!</v>
      </c>
      <c r="G51" s="82">
        <f>SUM(G43:G50)</f>
        <v>0</v>
      </c>
    </row>
    <row r="54" spans="2:7">
      <c r="B54" s="88" t="s">
        <v>94</v>
      </c>
      <c r="C54" s="88"/>
      <c r="D54" s="88"/>
      <c r="E54" s="88"/>
    </row>
    <row r="55" spans="2:7">
      <c r="B55" s="81" t="s">
        <v>95</v>
      </c>
      <c r="C55" s="81" t="str">
        <f>'Braga | Reabilitação Urbana'!F31</f>
        <v/>
      </c>
      <c r="D55" s="81" t="str">
        <f>'Braga | Reabilitação Urbana'!I31</f>
        <v/>
      </c>
    </row>
    <row r="56" spans="2:7">
      <c r="B56" s="81" t="s">
        <v>96</v>
      </c>
      <c r="C56" s="81" t="e">
        <f>C55/1.23</f>
        <v>#VALUE!</v>
      </c>
      <c r="D56" s="81" t="e">
        <f>D55/1.23</f>
        <v>#VALUE!</v>
      </c>
    </row>
    <row r="57" spans="2:7">
      <c r="B57" s="81" t="s">
        <v>97</v>
      </c>
      <c r="C57" s="81" t="e">
        <f>C56*1.06</f>
        <v>#VALUE!</v>
      </c>
      <c r="D57" s="81" t="e">
        <f>D56*1.06</f>
        <v>#VALUE!</v>
      </c>
    </row>
    <row r="58" spans="2:7">
      <c r="B58" s="82" t="s">
        <v>92</v>
      </c>
      <c r="C58" s="82" t="e">
        <f>C57-C56</f>
        <v>#VALUE!</v>
      </c>
      <c r="D58" s="82" t="e">
        <f>D57-D56</f>
        <v>#VALUE!</v>
      </c>
    </row>
    <row r="59" spans="2:7">
      <c r="B59" s="82" t="s">
        <v>93</v>
      </c>
      <c r="C59" s="82" t="e">
        <f>C55-C56-C58</f>
        <v>#VALUE!</v>
      </c>
      <c r="D59" s="82" t="e">
        <f>D55-D56-D58</f>
        <v>#VALUE!</v>
      </c>
    </row>
    <row r="61" spans="2:7">
      <c r="B61" s="81" t="s">
        <v>98</v>
      </c>
    </row>
    <row r="62" spans="2:7">
      <c r="B62" s="81" t="s">
        <v>41</v>
      </c>
      <c r="C62" s="81" t="e">
        <f>C56*$P$20</f>
        <v>#VALUE!</v>
      </c>
      <c r="D62" s="81" t="e">
        <f>D56*$P$20</f>
        <v>#VALUE!</v>
      </c>
    </row>
    <row r="63" spans="2:7">
      <c r="B63" s="81" t="s">
        <v>99</v>
      </c>
      <c r="C63" s="81" t="e">
        <f>C56*(1-$P$20)</f>
        <v>#VALUE!</v>
      </c>
      <c r="D63" s="81" t="e">
        <f>D56*(1-$P$20)</f>
        <v>#VALUE!</v>
      </c>
    </row>
    <row r="64" spans="2:7">
      <c r="B64" s="81" t="s">
        <v>100</v>
      </c>
      <c r="C64" s="81" t="e">
        <f>C62*1.06</f>
        <v>#VALUE!</v>
      </c>
      <c r="D64" s="81" t="e">
        <f>D62*1.06</f>
        <v>#VALUE!</v>
      </c>
    </row>
    <row r="65" spans="2:4">
      <c r="B65" s="81" t="s">
        <v>101</v>
      </c>
      <c r="C65" s="81" t="e">
        <f>C63*1.23</f>
        <v>#VALUE!</v>
      </c>
      <c r="D65" s="81" t="e">
        <f>D63*1.23</f>
        <v>#VALUE!</v>
      </c>
    </row>
    <row r="66" spans="2:4">
      <c r="B66" s="81" t="s">
        <v>102</v>
      </c>
      <c r="C66" s="81" t="e">
        <f>C64+C65</f>
        <v>#VALUE!</v>
      </c>
      <c r="D66" s="81" t="e">
        <f>D64+D65</f>
        <v>#VALUE!</v>
      </c>
    </row>
    <row r="67" spans="2:4">
      <c r="B67" s="82" t="s">
        <v>103</v>
      </c>
      <c r="C67" s="82" t="e">
        <f>C66-C56</f>
        <v>#VALUE!</v>
      </c>
      <c r="D67" s="82" t="e">
        <f>D66-D56</f>
        <v>#VALUE!</v>
      </c>
    </row>
    <row r="68" spans="2:4">
      <c r="B68" s="82" t="s">
        <v>93</v>
      </c>
      <c r="C68" s="82" t="e">
        <f>C55-C56-C67</f>
        <v>#VALUE!</v>
      </c>
      <c r="D68" s="82" t="e">
        <f>D55-D56-D67</f>
        <v>#VALUE!</v>
      </c>
    </row>
  </sheetData>
  <sheetProtection algorithmName="SHA-512" hashValue="6frlJfP8iQQVZ5gETzjTIm74Gdom6aYypORMTFlUG5tiLc7nCrcn+XtLW2quKo2iFtAYygFp1YehJ+dtyLJAoQ==" saltValue="h9WMA/jbK4neTwV+hbtAxA==" spinCount="100000" sheet="1" objects="1" scenarios="1" selectLockedCells="1" selectUnlockedCells="1"/>
  <mergeCells count="4">
    <mergeCell ref="B2:C2"/>
    <mergeCell ref="M2:O2"/>
    <mergeCell ref="B42:E42"/>
    <mergeCell ref="B54:E5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C173-DE7C-184A-B87B-8EC37D30FB2A}">
  <dimension ref="B3:R10"/>
  <sheetViews>
    <sheetView zoomScale="120" zoomScaleNormal="120" workbookViewId="0"/>
  </sheetViews>
  <sheetFormatPr baseColWidth="10" defaultRowHeight="13"/>
  <cols>
    <col min="1" max="4" width="10.83203125" style="1"/>
    <col min="5" max="5" width="2.5" style="1" customWidth="1"/>
    <col min="6" max="7" width="10.83203125" style="1"/>
    <col min="8" max="8" width="2.5" style="1" customWidth="1"/>
    <col min="9" max="10" width="10.83203125" style="1"/>
    <col min="11" max="11" width="2.5" style="1" customWidth="1"/>
    <col min="12" max="13" width="10.83203125" style="1"/>
    <col min="14" max="14" width="2.5" style="1" customWidth="1"/>
    <col min="15" max="16" width="10.83203125" style="1"/>
    <col min="17" max="17" width="2.5" style="1" customWidth="1"/>
    <col min="18" max="16384" width="10.83203125" style="1"/>
  </cols>
  <sheetData>
    <row r="3" spans="2:18" ht="30" customHeight="1">
      <c r="D3" s="77" t="s">
        <v>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2:18" ht="30" customHeight="1">
      <c r="D4" s="73" t="s">
        <v>7</v>
      </c>
      <c r="E4" s="73"/>
      <c r="F4" s="73"/>
      <c r="G4" s="73" t="s">
        <v>6</v>
      </c>
      <c r="H4" s="73"/>
      <c r="I4" s="73"/>
      <c r="J4" s="73" t="s">
        <v>5</v>
      </c>
      <c r="K4" s="73"/>
      <c r="L4" s="73"/>
      <c r="M4" s="73" t="s">
        <v>4</v>
      </c>
      <c r="N4" s="73"/>
      <c r="O4" s="73"/>
      <c r="P4" s="73" t="s">
        <v>3</v>
      </c>
      <c r="Q4" s="73"/>
      <c r="R4" s="73"/>
    </row>
    <row r="5" spans="2:18" ht="30" customHeight="1">
      <c r="B5" s="69" t="s">
        <v>2</v>
      </c>
      <c r="C5" s="2" t="s">
        <v>3</v>
      </c>
      <c r="D5" s="70" t="s">
        <v>9</v>
      </c>
      <c r="E5" s="71"/>
      <c r="F5" s="72"/>
      <c r="G5" s="70" t="s">
        <v>9</v>
      </c>
      <c r="H5" s="71"/>
      <c r="I5" s="72"/>
      <c r="J5" s="70" t="s">
        <v>9</v>
      </c>
      <c r="K5" s="71"/>
      <c r="L5" s="72"/>
      <c r="M5" s="70" t="s">
        <v>9</v>
      </c>
      <c r="N5" s="71"/>
      <c r="O5" s="72"/>
      <c r="P5" s="70" t="s">
        <v>9</v>
      </c>
      <c r="Q5" s="71"/>
      <c r="R5" s="72"/>
    </row>
    <row r="6" spans="2:18" ht="30" customHeight="1">
      <c r="B6" s="69"/>
      <c r="C6" s="2" t="s">
        <v>4</v>
      </c>
      <c r="D6" s="70" t="s">
        <v>9</v>
      </c>
      <c r="E6" s="71"/>
      <c r="F6" s="72"/>
      <c r="G6" s="70" t="s">
        <v>9</v>
      </c>
      <c r="H6" s="71"/>
      <c r="I6" s="72"/>
      <c r="J6" s="70" t="s">
        <v>9</v>
      </c>
      <c r="K6" s="71"/>
      <c r="L6" s="72"/>
      <c r="M6" s="70" t="s">
        <v>9</v>
      </c>
      <c r="N6" s="71"/>
      <c r="O6" s="72"/>
      <c r="P6" s="4">
        <v>430</v>
      </c>
      <c r="Q6" s="5" t="s">
        <v>8</v>
      </c>
      <c r="R6" s="6">
        <v>610</v>
      </c>
    </row>
    <row r="7" spans="2:18" ht="30" customHeight="1">
      <c r="B7" s="69"/>
      <c r="C7" s="2" t="s">
        <v>5</v>
      </c>
      <c r="D7" s="70" t="s">
        <v>9</v>
      </c>
      <c r="E7" s="71"/>
      <c r="F7" s="72"/>
      <c r="G7" s="70" t="s">
        <v>9</v>
      </c>
      <c r="H7" s="71"/>
      <c r="I7" s="72"/>
      <c r="J7" s="70" t="s">
        <v>9</v>
      </c>
      <c r="K7" s="71"/>
      <c r="L7" s="72"/>
      <c r="M7" s="4">
        <v>430</v>
      </c>
      <c r="N7" s="5" t="s">
        <v>8</v>
      </c>
      <c r="O7" s="6">
        <v>610</v>
      </c>
      <c r="P7" s="7">
        <v>610</v>
      </c>
      <c r="Q7" s="3" t="s">
        <v>8</v>
      </c>
      <c r="R7" s="8">
        <v>790</v>
      </c>
    </row>
    <row r="8" spans="2:18" ht="30" customHeight="1">
      <c r="B8" s="69"/>
      <c r="C8" s="2" t="s">
        <v>6</v>
      </c>
      <c r="D8" s="70" t="s">
        <v>9</v>
      </c>
      <c r="E8" s="71"/>
      <c r="F8" s="72"/>
      <c r="G8" s="70" t="s">
        <v>9</v>
      </c>
      <c r="H8" s="71"/>
      <c r="I8" s="72"/>
      <c r="J8" s="4">
        <v>430</v>
      </c>
      <c r="K8" s="5" t="s">
        <v>8</v>
      </c>
      <c r="L8" s="6">
        <v>610</v>
      </c>
      <c r="M8" s="7">
        <v>610</v>
      </c>
      <c r="N8" s="3" t="s">
        <v>8</v>
      </c>
      <c r="O8" s="8">
        <v>790</v>
      </c>
      <c r="P8" s="7">
        <v>790</v>
      </c>
      <c r="Q8" s="3" t="s">
        <v>8</v>
      </c>
      <c r="R8" s="8">
        <v>970</v>
      </c>
    </row>
    <row r="9" spans="2:18" ht="30" customHeight="1">
      <c r="B9" s="69"/>
      <c r="C9" s="2" t="s">
        <v>7</v>
      </c>
      <c r="D9" s="70" t="s">
        <v>9</v>
      </c>
      <c r="E9" s="71"/>
      <c r="F9" s="72"/>
      <c r="G9" s="4">
        <v>430</v>
      </c>
      <c r="H9" s="5" t="s">
        <v>8</v>
      </c>
      <c r="I9" s="6">
        <v>610</v>
      </c>
      <c r="J9" s="7">
        <v>610</v>
      </c>
      <c r="K9" s="3" t="s">
        <v>8</v>
      </c>
      <c r="L9" s="8">
        <v>790</v>
      </c>
      <c r="M9" s="7">
        <v>790</v>
      </c>
      <c r="N9" s="3" t="s">
        <v>8</v>
      </c>
      <c r="O9" s="8">
        <v>970</v>
      </c>
      <c r="P9" s="7">
        <v>970</v>
      </c>
      <c r="Q9" s="3" t="s">
        <v>8</v>
      </c>
      <c r="R9" s="8">
        <v>1150</v>
      </c>
    </row>
    <row r="10" spans="2:18" ht="30" customHeight="1">
      <c r="D10" s="74" t="s">
        <v>38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/>
    </row>
  </sheetData>
  <sheetProtection algorithmName="SHA-512" hashValue="c3uswhp/iEilm895OExXjHF2XVJGDeyRAonK9T1zwn5qSFwwBKJvIGxGm8xfiMy8kgKr6sTXTgVmwJmoFyCi0g==" saltValue="+IWtR3VlaUkkQ4JnYtdmEA==" spinCount="100000" sheet="1" objects="1" scenarios="1"/>
  <mergeCells count="23">
    <mergeCell ref="D3:R3"/>
    <mergeCell ref="J5:L5"/>
    <mergeCell ref="G5:I5"/>
    <mergeCell ref="D5:F5"/>
    <mergeCell ref="M5:O5"/>
    <mergeCell ref="P5:R5"/>
    <mergeCell ref="M4:O4"/>
    <mergeCell ref="P4:R4"/>
    <mergeCell ref="D10:R10"/>
    <mergeCell ref="D9:F9"/>
    <mergeCell ref="G8:I8"/>
    <mergeCell ref="J7:L7"/>
    <mergeCell ref="M6:O6"/>
    <mergeCell ref="B5:B9"/>
    <mergeCell ref="G6:I6"/>
    <mergeCell ref="J6:L6"/>
    <mergeCell ref="D4:F4"/>
    <mergeCell ref="G4:I4"/>
    <mergeCell ref="J4:L4"/>
    <mergeCell ref="D8:F8"/>
    <mergeCell ref="G7:I7"/>
    <mergeCell ref="D7:F7"/>
    <mergeCell ref="D6:F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Braga | Reabilitação Urbana</vt:lpstr>
      <vt:lpstr>Listas</vt:lpstr>
      <vt:lpstr>Estimativa de Custo</vt:lpstr>
      <vt:lpstr>'Braga | Reabilitação Urbana'!Print_Area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#FG</dc:creator>
  <cp:lastModifiedBy>#FG</cp:lastModifiedBy>
  <cp:lastPrinted>2023-01-17T15:42:44Z</cp:lastPrinted>
  <dcterms:created xsi:type="dcterms:W3CDTF">2022-12-14T11:36:06Z</dcterms:created>
  <dcterms:modified xsi:type="dcterms:W3CDTF">2023-01-17T16:13:51Z</dcterms:modified>
</cp:coreProperties>
</file>